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Стародумова\Рабочая\Отчеты\Алтайский фонд МСП\На сайт(ежемесячно)\2025\на 01.08.2025\"/>
    </mc:Choice>
  </mc:AlternateContent>
  <xr:revisionPtr revIDLastSave="0" documentId="13_ncr:1_{53EE8441-303B-44E1-B46C-492B9C7229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ручительства Фонда" sheetId="1" r:id="rId1"/>
  </sheets>
  <definedNames>
    <definedName name="_xlnm.Print_Area" localSheetId="0">'поручительства Фонда'!$A$1:$R$25</definedName>
  </definedNames>
  <calcPr calcId="191029" iterateDelta="1E-4"/>
</workbook>
</file>

<file path=xl/calcChain.xml><?xml version="1.0" encoding="utf-8"?>
<calcChain xmlns="http://schemas.openxmlformats.org/spreadsheetml/2006/main">
  <c r="O9" i="1" l="1"/>
  <c r="N9" i="1"/>
  <c r="O5" i="1"/>
  <c r="N5" i="1"/>
  <c r="M5" i="1"/>
  <c r="L5" i="1"/>
  <c r="O22" i="1"/>
  <c r="N22" i="1"/>
  <c r="K12" i="1" l="1"/>
  <c r="O16" i="1" l="1"/>
  <c r="N16" i="1"/>
  <c r="D21" i="1"/>
  <c r="E21" i="1"/>
  <c r="F21" i="1"/>
  <c r="G21" i="1"/>
  <c r="K23" i="1" l="1"/>
  <c r="J23" i="1"/>
  <c r="K22" i="1"/>
  <c r="J22" i="1"/>
  <c r="K17" i="1"/>
  <c r="J17" i="1"/>
  <c r="K16" i="1"/>
  <c r="J16" i="1"/>
  <c r="J12" i="1"/>
  <c r="K9" i="1"/>
  <c r="J9" i="1"/>
  <c r="K8" i="1"/>
  <c r="J8" i="1"/>
  <c r="K5" i="1"/>
  <c r="J5" i="1"/>
  <c r="I5" i="1"/>
  <c r="H5" i="1"/>
  <c r="D20" i="1" l="1"/>
  <c r="E20" i="1"/>
  <c r="F20" i="1"/>
  <c r="G20" i="1"/>
  <c r="D24" i="1"/>
  <c r="E24" i="1"/>
  <c r="F24" i="1"/>
  <c r="G24" i="1"/>
  <c r="G5" i="1"/>
  <c r="G16" i="1"/>
  <c r="G22" i="1"/>
  <c r="D5" i="1"/>
  <c r="E5" i="1"/>
  <c r="F5" i="1"/>
  <c r="D6" i="1"/>
  <c r="E6" i="1"/>
  <c r="F6" i="1"/>
  <c r="G6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D17" i="1"/>
  <c r="E17" i="1"/>
  <c r="F17" i="1"/>
  <c r="G17" i="1"/>
  <c r="D22" i="1"/>
  <c r="E22" i="1"/>
  <c r="F22" i="1"/>
  <c r="D23" i="1"/>
  <c r="E23" i="1"/>
  <c r="F23" i="1"/>
  <c r="G23" i="1"/>
  <c r="D18" i="1"/>
  <c r="E18" i="1"/>
  <c r="F18" i="1"/>
  <c r="G18" i="1"/>
  <c r="D19" i="1"/>
  <c r="E19" i="1"/>
  <c r="F19" i="1"/>
  <c r="G19" i="1"/>
  <c r="O25" i="1" l="1"/>
  <c r="L25" i="1" l="1"/>
  <c r="H25" i="1" l="1"/>
  <c r="D25" i="1" s="1"/>
  <c r="P25" i="1" l="1"/>
  <c r="Q25" i="1"/>
  <c r="R25" i="1"/>
  <c r="K25" i="1" l="1"/>
  <c r="I25" i="1" l="1"/>
  <c r="J25" i="1" l="1"/>
  <c r="M25" i="1"/>
  <c r="E25" i="1" s="1"/>
  <c r="N25" i="1"/>
  <c r="G25" i="1" l="1"/>
  <c r="F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Shavolin</author>
  </authors>
  <commentList>
    <comment ref="C24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+Бинбанк+Тальменка-Банк+ЮниаструмБанк</t>
        </r>
      </text>
    </comment>
  </commentList>
</comments>
</file>

<file path=xl/sharedStrings.xml><?xml version="1.0" encoding="utf-8"?>
<sst xmlns="http://schemas.openxmlformats.org/spreadsheetml/2006/main" count="45" uniqueCount="42">
  <si>
    <t>Бывшие банки-партнеры</t>
  </si>
  <si>
    <t>ИТОГО</t>
  </si>
  <si>
    <t>Объем выданных поручительств (с начала деятельности Фонда), руб.</t>
  </si>
  <si>
    <t>Количество выданных поручительств (с начала деятельности Фонда), шт.</t>
  </si>
  <si>
    <t>№ п/п</t>
  </si>
  <si>
    <t>Сумма поручительств, руб.</t>
  </si>
  <si>
    <t>Сумма кредитов, выданных под поручительства, руб.</t>
  </si>
  <si>
    <t>ПАО Сбербанк</t>
  </si>
  <si>
    <t>АО "Россельхозбанк"</t>
  </si>
  <si>
    <t>ПАО "АК БАРС" БАНК</t>
  </si>
  <si>
    <t>ТКБ БАНК ПАО</t>
  </si>
  <si>
    <t>Банк "Левобережный" (ПАО)</t>
  </si>
  <si>
    <t>АО "Банк Акцепт"</t>
  </si>
  <si>
    <t>ООО КБ "Алтайкапиталбанк"</t>
  </si>
  <si>
    <t>АО "МСП Банк"</t>
  </si>
  <si>
    <t>АО "Банк Интеза"</t>
  </si>
  <si>
    <t>АО "АЛЬФА-БАНК"</t>
  </si>
  <si>
    <t>Банк ВТБ (ПАО)</t>
  </si>
  <si>
    <t>Кол-во субъектов получивших поддержку, шт.</t>
  </si>
  <si>
    <t>Количество выданных поручительств, шт.</t>
  </si>
  <si>
    <t>Объем выданных поручительств, руб.</t>
  </si>
  <si>
    <t>Объем выданных кредитов под поручительство Фонда, руб.</t>
  </si>
  <si>
    <t>Кол-во субъектов получивших поддержку
(с начала деятельности Фонда), шт.</t>
  </si>
  <si>
    <t>Объем выданных кредитов под поручительство Фонда
(с начала деятельности Фонда), руб.</t>
  </si>
  <si>
    <t>Кол-во договоров, шт.</t>
  </si>
  <si>
    <t>Кол-во субъектов, шт.</t>
  </si>
  <si>
    <t xml:space="preserve">Объем  выданных поручительств, руб.  </t>
  </si>
  <si>
    <t>Фонд развития Алтайского края</t>
  </si>
  <si>
    <t>Наименование финансовой организации-партнера</t>
  </si>
  <si>
    <t>МКК ФОНД ФИНАНСИРОВАНИЯ</t>
  </si>
  <si>
    <t>АО АКБ "НОВИКОМБАНК</t>
  </si>
  <si>
    <t>"Азиатско-Тихоокеанский Банк" (АО)</t>
  </si>
  <si>
    <t>АО "Банк ДОМ.РФ"</t>
  </si>
  <si>
    <t>СИБСОЦБАНК ООО</t>
  </si>
  <si>
    <t>2007-2025 гг.</t>
  </si>
  <si>
    <t>2007-2024</t>
  </si>
  <si>
    <t>2025 г.</t>
  </si>
  <si>
    <t>ПАО "Совкомбанк"</t>
  </si>
  <si>
    <t xml:space="preserve"> </t>
  </si>
  <si>
    <t>ПАО "Банк ПСБ"</t>
  </si>
  <si>
    <t>Сведения о поручительствах, предоставленных НО "Алтайский фонд МСП", в разрезе финансовых организаций - партнеров на 01.08.2025</t>
  </si>
  <si>
    <t>Действующие поручительства на 01.08.2025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</si>
</sst>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8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42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5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</cellXfs>
  <cellStyles count="2">
    <cellStyle name="Excel Built-in Normal" xfId="1" xr:uid="{739C1B7D-C161-499C-9975-59462CB365C0}"/>
    <cellStyle name="Обычный" xfId="0" builtinId="0"/>
  </cellStyles>
  <dxfs count="0"/>
  <tableStyles count="0" defaultTableStyle="TableStyleMedium9" defaultPivotStyle="PivotStyleLight16"/>
  <colors>
    <mruColors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36"/>
  <sheetViews>
    <sheetView tabSelected="1" topLeftCell="B1" zoomScale="78" zoomScaleNormal="78" workbookViewId="0">
      <pane xSplit="2" ySplit="4" topLeftCell="D5" activePane="bottomRight" state="frozen"/>
      <selection activeCell="B1" sqref="B1"/>
      <selection pane="topRight" activeCell="C1" sqref="C1"/>
      <selection pane="bottomLeft" activeCell="B5" sqref="B5"/>
      <selection pane="bottomRight" activeCell="S19" sqref="S19"/>
    </sheetView>
  </sheetViews>
  <sheetFormatPr defaultRowHeight="15" x14ac:dyDescent="0.25"/>
  <cols>
    <col min="3" max="3" width="44.28515625" customWidth="1"/>
    <col min="4" max="4" width="19.85546875" customWidth="1"/>
    <col min="5" max="5" width="18.28515625" customWidth="1"/>
    <col min="6" max="6" width="18.42578125" style="19" customWidth="1"/>
    <col min="7" max="7" width="25" style="19" customWidth="1"/>
    <col min="8" max="8" width="18.140625" style="19" hidden="1" customWidth="1"/>
    <col min="9" max="9" width="20" style="19" hidden="1" customWidth="1"/>
    <col min="10" max="10" width="18.7109375" style="19" hidden="1" customWidth="1"/>
    <col min="11" max="11" width="21" style="19" hidden="1" customWidth="1"/>
    <col min="12" max="12" width="19.140625" style="19" customWidth="1"/>
    <col min="13" max="13" width="18.5703125" style="19" customWidth="1"/>
    <col min="14" max="14" width="18.85546875" style="19" customWidth="1"/>
    <col min="15" max="15" width="19.5703125" style="19" customWidth="1"/>
    <col min="16" max="16" width="18" customWidth="1"/>
    <col min="17" max="17" width="19.140625" customWidth="1"/>
    <col min="18" max="18" width="19" customWidth="1"/>
    <col min="19" max="19" width="13.85546875" customWidth="1"/>
  </cols>
  <sheetData>
    <row r="1" spans="1:19" ht="20.25" customHeight="1" x14ac:dyDescent="0.25">
      <c r="A1" s="34" t="s">
        <v>40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9" s="4" customFormat="1" ht="15.7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9" s="4" customFormat="1" ht="23.25" customHeight="1" x14ac:dyDescent="0.25">
      <c r="A3" s="36" t="s">
        <v>4</v>
      </c>
      <c r="B3" s="37" t="s">
        <v>4</v>
      </c>
      <c r="C3" s="37" t="s">
        <v>28</v>
      </c>
      <c r="D3" s="38" t="s">
        <v>34</v>
      </c>
      <c r="E3" s="39"/>
      <c r="F3" s="39"/>
      <c r="G3" s="40"/>
      <c r="H3" s="38" t="s">
        <v>35</v>
      </c>
      <c r="I3" s="39"/>
      <c r="J3" s="39"/>
      <c r="K3" s="40"/>
      <c r="L3" s="38" t="s">
        <v>36</v>
      </c>
      <c r="M3" s="39"/>
      <c r="N3" s="39"/>
      <c r="O3" s="40"/>
      <c r="P3" s="41" t="s">
        <v>41</v>
      </c>
      <c r="Q3" s="41"/>
      <c r="R3" s="41"/>
    </row>
    <row r="4" spans="1:19" s="4" customFormat="1" ht="112.5" customHeight="1" x14ac:dyDescent="0.25">
      <c r="A4" s="36"/>
      <c r="B4" s="37"/>
      <c r="C4" s="37"/>
      <c r="D4" s="6" t="s">
        <v>22</v>
      </c>
      <c r="E4" s="6" t="s">
        <v>3</v>
      </c>
      <c r="F4" s="6" t="s">
        <v>2</v>
      </c>
      <c r="G4" s="6" t="s">
        <v>23</v>
      </c>
      <c r="H4" s="6" t="s">
        <v>18</v>
      </c>
      <c r="I4" s="6" t="s">
        <v>19</v>
      </c>
      <c r="J4" s="6" t="s">
        <v>20</v>
      </c>
      <c r="K4" s="6" t="s">
        <v>21</v>
      </c>
      <c r="L4" s="6" t="s">
        <v>25</v>
      </c>
      <c r="M4" s="6" t="s">
        <v>19</v>
      </c>
      <c r="N4" s="6" t="s">
        <v>26</v>
      </c>
      <c r="O4" s="6" t="s">
        <v>21</v>
      </c>
      <c r="P4" s="1" t="s">
        <v>24</v>
      </c>
      <c r="Q4" s="1" t="s">
        <v>5</v>
      </c>
      <c r="R4" s="1" t="s">
        <v>6</v>
      </c>
    </row>
    <row r="5" spans="1:19" s="4" customFormat="1" ht="18.75" x14ac:dyDescent="0.3">
      <c r="A5" s="5">
        <v>1</v>
      </c>
      <c r="B5" s="5">
        <v>1</v>
      </c>
      <c r="C5" s="7" t="s">
        <v>7</v>
      </c>
      <c r="D5" s="8">
        <f>H5+L5</f>
        <v>681</v>
      </c>
      <c r="E5" s="8">
        <f t="shared" ref="E5:E23" si="0">I5+M5</f>
        <v>781</v>
      </c>
      <c r="F5" s="9">
        <f t="shared" ref="F5:F23" si="1">J5+N5</f>
        <v>4276844475.5100002</v>
      </c>
      <c r="G5" s="9">
        <f t="shared" ref="G5:G23" si="2">K5+O5</f>
        <v>23171972185.950001</v>
      </c>
      <c r="H5" s="8">
        <f>560+(78+4+2)</f>
        <v>644</v>
      </c>
      <c r="I5" s="8">
        <f>641+(86+5+4)</f>
        <v>736</v>
      </c>
      <c r="J5" s="9">
        <f>3206777881.53+(23950000+17148147+110500000+105400000+41575000+81919696.98+122700000+82433750+58000000+17500000+43700000+10000000)</f>
        <v>3921604475.5100002</v>
      </c>
      <c r="K5" s="9">
        <f>7957943092+(64300000+49600000+221000000+210800000+83150000+182944093.95+251800000+165775000+116000000+35000000+111400000+8109608000)</f>
        <v>17559320185.950001</v>
      </c>
      <c r="L5" s="8">
        <f>8+11+4+6+3+5</f>
        <v>37</v>
      </c>
      <c r="M5" s="10">
        <f>27+7+4+7</f>
        <v>45</v>
      </c>
      <c r="N5" s="25">
        <f>28690000+47750000+102000000+30300000+49950000+19400000+77150000</f>
        <v>355240000</v>
      </c>
      <c r="O5" s="25">
        <f>4959552000+95500000+204000000+60600000+99900000+38800000+154300000</f>
        <v>5612652000</v>
      </c>
      <c r="P5" s="2">
        <v>283</v>
      </c>
      <c r="Q5" s="30">
        <v>1839763916.3800001</v>
      </c>
      <c r="R5" s="30">
        <v>17202066273.950001</v>
      </c>
      <c r="S5" s="32"/>
    </row>
    <row r="6" spans="1:19" s="4" customFormat="1" ht="20.25" customHeight="1" x14ac:dyDescent="0.3">
      <c r="A6" s="5">
        <v>2</v>
      </c>
      <c r="B6" s="5">
        <v>2</v>
      </c>
      <c r="C6" s="7" t="s">
        <v>8</v>
      </c>
      <c r="D6" s="8">
        <f t="shared" ref="D6:D23" si="3">H6+L6</f>
        <v>41</v>
      </c>
      <c r="E6" s="8">
        <f t="shared" si="0"/>
        <v>50</v>
      </c>
      <c r="F6" s="9">
        <f t="shared" si="1"/>
        <v>284040340</v>
      </c>
      <c r="G6" s="9">
        <f t="shared" si="2"/>
        <v>861055109</v>
      </c>
      <c r="H6" s="8">
        <v>41</v>
      </c>
      <c r="I6" s="8">
        <v>50</v>
      </c>
      <c r="J6" s="9">
        <v>284040340</v>
      </c>
      <c r="K6" s="9">
        <v>861055109</v>
      </c>
      <c r="L6" s="8"/>
      <c r="M6" s="8"/>
      <c r="N6" s="29"/>
      <c r="O6" s="29"/>
      <c r="P6" s="2">
        <v>2</v>
      </c>
      <c r="Q6" s="30">
        <v>9000000</v>
      </c>
      <c r="R6" s="30">
        <v>22990000</v>
      </c>
      <c r="S6" s="32"/>
    </row>
    <row r="7" spans="1:19" s="4" customFormat="1" ht="18.75" x14ac:dyDescent="0.3">
      <c r="A7" s="5">
        <v>4</v>
      </c>
      <c r="B7" s="5">
        <v>3</v>
      </c>
      <c r="C7" s="11" t="s">
        <v>39</v>
      </c>
      <c r="D7" s="8">
        <f t="shared" si="3"/>
        <v>37</v>
      </c>
      <c r="E7" s="8">
        <f t="shared" si="0"/>
        <v>42</v>
      </c>
      <c r="F7" s="9">
        <f t="shared" si="1"/>
        <v>402994000</v>
      </c>
      <c r="G7" s="9">
        <f t="shared" si="2"/>
        <v>1322500002</v>
      </c>
      <c r="H7" s="8">
        <v>37</v>
      </c>
      <c r="I7" s="8">
        <v>42</v>
      </c>
      <c r="J7" s="9">
        <v>402994000</v>
      </c>
      <c r="K7" s="9">
        <v>1322500002</v>
      </c>
      <c r="L7" s="8"/>
      <c r="M7" s="23"/>
      <c r="N7" s="9"/>
      <c r="O7" s="9"/>
      <c r="P7" s="2">
        <v>7</v>
      </c>
      <c r="Q7" s="30">
        <v>120699000</v>
      </c>
      <c r="R7" s="30">
        <v>362000000</v>
      </c>
      <c r="S7" s="32"/>
    </row>
    <row r="8" spans="1:19" s="4" customFormat="1" ht="18.75" x14ac:dyDescent="0.3">
      <c r="A8" s="5">
        <v>5</v>
      </c>
      <c r="B8" s="5">
        <v>4</v>
      </c>
      <c r="C8" s="7" t="s">
        <v>9</v>
      </c>
      <c r="D8" s="8">
        <f t="shared" si="3"/>
        <v>29</v>
      </c>
      <c r="E8" s="8">
        <f t="shared" si="0"/>
        <v>30</v>
      </c>
      <c r="F8" s="9">
        <f t="shared" si="1"/>
        <v>203545000</v>
      </c>
      <c r="G8" s="9">
        <f t="shared" si="2"/>
        <v>628545000</v>
      </c>
      <c r="H8" s="8">
        <v>28</v>
      </c>
      <c r="I8" s="8">
        <v>29</v>
      </c>
      <c r="J8" s="9">
        <f>161545000+(7000000+10000000)</f>
        <v>178545000</v>
      </c>
      <c r="K8" s="9">
        <f>498845000+(15900000+37800000)</f>
        <v>552545000</v>
      </c>
      <c r="L8" s="8">
        <v>1</v>
      </c>
      <c r="M8" s="10">
        <v>1</v>
      </c>
      <c r="N8" s="25">
        <v>25000000</v>
      </c>
      <c r="O8" s="25">
        <v>76000000</v>
      </c>
      <c r="P8" s="2">
        <v>5</v>
      </c>
      <c r="Q8" s="30">
        <v>58500000</v>
      </c>
      <c r="R8" s="30">
        <v>180450000</v>
      </c>
      <c r="S8" s="32"/>
    </row>
    <row r="9" spans="1:19" s="4" customFormat="1" ht="18.75" x14ac:dyDescent="0.3">
      <c r="A9" s="5">
        <v>6</v>
      </c>
      <c r="B9" s="5">
        <v>5</v>
      </c>
      <c r="C9" s="7" t="s">
        <v>10</v>
      </c>
      <c r="D9" s="8">
        <f t="shared" si="3"/>
        <v>11</v>
      </c>
      <c r="E9" s="8">
        <f t="shared" si="0"/>
        <v>12</v>
      </c>
      <c r="F9" s="9">
        <f t="shared" si="1"/>
        <v>113495834</v>
      </c>
      <c r="G9" s="9">
        <f t="shared" si="2"/>
        <v>232625000</v>
      </c>
      <c r="H9" s="8">
        <v>7</v>
      </c>
      <c r="I9" s="8">
        <v>8</v>
      </c>
      <c r="J9" s="9">
        <f>12495834+(38500000)</f>
        <v>50995834</v>
      </c>
      <c r="K9" s="9">
        <f>30625000+(55000000)</f>
        <v>85625000</v>
      </c>
      <c r="L9" s="8">
        <v>4</v>
      </c>
      <c r="M9" s="8">
        <v>4</v>
      </c>
      <c r="N9" s="25">
        <f>28000000+22500000+12000000</f>
        <v>62500000</v>
      </c>
      <c r="O9" s="25">
        <f>40000000+83000000+24000000</f>
        <v>147000000</v>
      </c>
      <c r="P9" s="2">
        <v>4</v>
      </c>
      <c r="Q9" s="30">
        <v>93500000</v>
      </c>
      <c r="R9" s="30">
        <v>187000000</v>
      </c>
      <c r="S9" s="32"/>
    </row>
    <row r="10" spans="1:19" s="4" customFormat="1" ht="18.75" x14ac:dyDescent="0.3">
      <c r="A10" s="5">
        <v>7</v>
      </c>
      <c r="B10" s="5">
        <v>6</v>
      </c>
      <c r="C10" s="7" t="s">
        <v>11</v>
      </c>
      <c r="D10" s="8">
        <f t="shared" si="3"/>
        <v>21</v>
      </c>
      <c r="E10" s="8">
        <f t="shared" si="0"/>
        <v>24</v>
      </c>
      <c r="F10" s="9">
        <f t="shared" si="1"/>
        <v>147585000</v>
      </c>
      <c r="G10" s="9">
        <f t="shared" si="2"/>
        <v>429782800</v>
      </c>
      <c r="H10" s="8">
        <v>21</v>
      </c>
      <c r="I10" s="8">
        <v>24</v>
      </c>
      <c r="J10" s="9">
        <v>147585000</v>
      </c>
      <c r="K10" s="9">
        <v>429782800</v>
      </c>
      <c r="L10" s="8"/>
      <c r="M10" s="10"/>
      <c r="N10" s="25"/>
      <c r="O10" s="25"/>
      <c r="P10" s="2"/>
      <c r="Q10" s="30"/>
      <c r="R10" s="30"/>
      <c r="S10" s="32"/>
    </row>
    <row r="11" spans="1:19" s="4" customFormat="1" ht="18.75" x14ac:dyDescent="0.3">
      <c r="A11" s="5">
        <v>8</v>
      </c>
      <c r="B11" s="5">
        <v>7</v>
      </c>
      <c r="C11" s="7" t="s">
        <v>12</v>
      </c>
      <c r="D11" s="8">
        <f t="shared" si="3"/>
        <v>5</v>
      </c>
      <c r="E11" s="8">
        <f t="shared" si="0"/>
        <v>6</v>
      </c>
      <c r="F11" s="9">
        <f t="shared" si="1"/>
        <v>8320919</v>
      </c>
      <c r="G11" s="9">
        <f t="shared" si="2"/>
        <v>20581838</v>
      </c>
      <c r="H11" s="8">
        <v>5</v>
      </c>
      <c r="I11" s="8">
        <v>6</v>
      </c>
      <c r="J11" s="9">
        <v>8320919</v>
      </c>
      <c r="K11" s="9">
        <v>20581838</v>
      </c>
      <c r="L11" s="8"/>
      <c r="M11" s="10"/>
      <c r="N11" s="25"/>
      <c r="O11" s="25"/>
      <c r="P11" s="2"/>
      <c r="Q11" s="30"/>
      <c r="R11" s="30"/>
      <c r="S11" s="32"/>
    </row>
    <row r="12" spans="1:19" s="4" customFormat="1" ht="18.75" x14ac:dyDescent="0.3">
      <c r="A12" s="5">
        <v>9</v>
      </c>
      <c r="B12" s="5">
        <v>8</v>
      </c>
      <c r="C12" s="7" t="s">
        <v>33</v>
      </c>
      <c r="D12" s="8">
        <f t="shared" si="3"/>
        <v>141</v>
      </c>
      <c r="E12" s="8">
        <f t="shared" si="0"/>
        <v>152</v>
      </c>
      <c r="F12" s="9">
        <f t="shared" si="1"/>
        <v>701121666.26999998</v>
      </c>
      <c r="G12" s="9">
        <f t="shared" si="2"/>
        <v>1750233043.78</v>
      </c>
      <c r="H12" s="8">
        <v>141</v>
      </c>
      <c r="I12" s="8">
        <v>152</v>
      </c>
      <c r="J12" s="9">
        <f>678921666.27+(4200000+2000000+13000000+3000000)</f>
        <v>701121666.26999998</v>
      </c>
      <c r="K12" s="9">
        <f>1669233043.53+(14000000+4000000+50000000+13000000)+0.25</f>
        <v>1750233043.78</v>
      </c>
      <c r="L12" s="8"/>
      <c r="M12" s="10"/>
      <c r="N12" s="25"/>
      <c r="O12" s="25"/>
      <c r="P12" s="2">
        <v>7</v>
      </c>
      <c r="Q12" s="30">
        <v>60200000</v>
      </c>
      <c r="R12" s="30">
        <v>172577547</v>
      </c>
      <c r="S12" s="32"/>
    </row>
    <row r="13" spans="1:19" s="4" customFormat="1" ht="18.75" x14ac:dyDescent="0.3">
      <c r="A13" s="5">
        <v>10</v>
      </c>
      <c r="B13" s="5">
        <v>9</v>
      </c>
      <c r="C13" s="7" t="s">
        <v>13</v>
      </c>
      <c r="D13" s="8">
        <f t="shared" si="3"/>
        <v>50</v>
      </c>
      <c r="E13" s="8">
        <f t="shared" si="0"/>
        <v>50</v>
      </c>
      <c r="F13" s="9">
        <f t="shared" si="1"/>
        <v>87310000</v>
      </c>
      <c r="G13" s="9">
        <f t="shared" si="2"/>
        <v>191700000</v>
      </c>
      <c r="H13" s="8">
        <v>50</v>
      </c>
      <c r="I13" s="8">
        <v>50</v>
      </c>
      <c r="J13" s="9">
        <v>87310000</v>
      </c>
      <c r="K13" s="9">
        <v>191700000</v>
      </c>
      <c r="L13" s="8"/>
      <c r="M13" s="10"/>
      <c r="N13" s="9"/>
      <c r="O13" s="9"/>
      <c r="P13" s="2">
        <v>3</v>
      </c>
      <c r="Q13" s="30">
        <v>20500000</v>
      </c>
      <c r="R13" s="30">
        <v>41000000</v>
      </c>
      <c r="S13" s="32"/>
    </row>
    <row r="14" spans="1:19" s="4" customFormat="1" ht="18.75" x14ac:dyDescent="0.3">
      <c r="A14" s="5">
        <v>11</v>
      </c>
      <c r="B14" s="5">
        <v>10</v>
      </c>
      <c r="C14" s="7" t="s">
        <v>14</v>
      </c>
      <c r="D14" s="8">
        <f t="shared" si="3"/>
        <v>1</v>
      </c>
      <c r="E14" s="8">
        <f t="shared" si="0"/>
        <v>1</v>
      </c>
      <c r="F14" s="9">
        <f t="shared" si="1"/>
        <v>6000000</v>
      </c>
      <c r="G14" s="9">
        <f t="shared" si="2"/>
        <v>10000000</v>
      </c>
      <c r="H14" s="8">
        <v>1</v>
      </c>
      <c r="I14" s="8">
        <v>1</v>
      </c>
      <c r="J14" s="9">
        <v>6000000</v>
      </c>
      <c r="K14" s="9">
        <v>10000000</v>
      </c>
      <c r="L14" s="8"/>
      <c r="M14" s="10"/>
      <c r="N14" s="9"/>
      <c r="O14" s="9"/>
      <c r="P14" s="2"/>
      <c r="Q14" s="30"/>
      <c r="R14" s="30"/>
      <c r="S14" s="32"/>
    </row>
    <row r="15" spans="1:19" s="4" customFormat="1" ht="18.75" x14ac:dyDescent="0.3">
      <c r="A15" s="5">
        <v>12</v>
      </c>
      <c r="B15" s="5">
        <v>11</v>
      </c>
      <c r="C15" s="7" t="s">
        <v>15</v>
      </c>
      <c r="D15" s="8">
        <f t="shared" si="3"/>
        <v>22</v>
      </c>
      <c r="E15" s="8">
        <f t="shared" si="0"/>
        <v>32</v>
      </c>
      <c r="F15" s="9">
        <f t="shared" si="1"/>
        <v>165100135.80000001</v>
      </c>
      <c r="G15" s="9">
        <f t="shared" si="2"/>
        <v>590290499</v>
      </c>
      <c r="H15" s="8">
        <v>22</v>
      </c>
      <c r="I15" s="8">
        <v>32</v>
      </c>
      <c r="J15" s="9">
        <v>165100135.80000001</v>
      </c>
      <c r="K15" s="9">
        <v>590290499</v>
      </c>
      <c r="L15" s="8"/>
      <c r="M15" s="10"/>
      <c r="N15" s="9"/>
      <c r="O15" s="9"/>
      <c r="P15" s="2">
        <v>2</v>
      </c>
      <c r="Q15" s="30">
        <v>12180000</v>
      </c>
      <c r="R15" s="30">
        <v>24600000</v>
      </c>
      <c r="S15" s="32"/>
    </row>
    <row r="16" spans="1:19" s="4" customFormat="1" ht="18.75" x14ac:dyDescent="0.3">
      <c r="A16" s="5">
        <v>13</v>
      </c>
      <c r="B16" s="5">
        <v>12</v>
      </c>
      <c r="C16" s="7" t="s">
        <v>16</v>
      </c>
      <c r="D16" s="8">
        <f t="shared" si="3"/>
        <v>18</v>
      </c>
      <c r="E16" s="8">
        <f t="shared" si="0"/>
        <v>21</v>
      </c>
      <c r="F16" s="9">
        <f t="shared" si="1"/>
        <v>209576500</v>
      </c>
      <c r="G16" s="9">
        <f t="shared" si="2"/>
        <v>494123000</v>
      </c>
      <c r="H16" s="8">
        <v>15</v>
      </c>
      <c r="I16" s="8">
        <v>18</v>
      </c>
      <c r="J16" s="9">
        <f>103946800+(2136000+10672000+28000000+8210700+8800000+9007000+7000000)</f>
        <v>177772500</v>
      </c>
      <c r="K16" s="9">
        <f>262443000+(6000000+17344000+40400000+16500000+17600000+23866000+13920000)</f>
        <v>398073000</v>
      </c>
      <c r="L16" s="8">
        <v>3</v>
      </c>
      <c r="M16" s="10">
        <v>3</v>
      </c>
      <c r="N16" s="9">
        <f>3540000+28264000</f>
        <v>31804000</v>
      </c>
      <c r="O16" s="9">
        <f>20000000+76050000</f>
        <v>96050000</v>
      </c>
      <c r="P16" s="2">
        <v>16</v>
      </c>
      <c r="Q16" s="30">
        <v>144068500</v>
      </c>
      <c r="R16" s="30">
        <v>293123000</v>
      </c>
      <c r="S16" s="32"/>
    </row>
    <row r="17" spans="1:19" s="4" customFormat="1" ht="18.75" x14ac:dyDescent="0.3">
      <c r="A17" s="5">
        <v>14</v>
      </c>
      <c r="B17" s="5">
        <v>13</v>
      </c>
      <c r="C17" s="7" t="s">
        <v>17</v>
      </c>
      <c r="D17" s="8">
        <f t="shared" si="3"/>
        <v>79</v>
      </c>
      <c r="E17" s="8">
        <f t="shared" si="0"/>
        <v>86</v>
      </c>
      <c r="F17" s="9">
        <f t="shared" si="1"/>
        <v>1265386043.9000001</v>
      </c>
      <c r="G17" s="9">
        <f t="shared" si="2"/>
        <v>3951759865.6100001</v>
      </c>
      <c r="H17" s="8">
        <v>78</v>
      </c>
      <c r="I17" s="8">
        <v>85</v>
      </c>
      <c r="J17" s="9">
        <f>896623605.86+(50000000+68100000+54111000+13451800+98552000+11547638.04+50000000+20000000)</f>
        <v>1262386043.9000001</v>
      </c>
      <c r="K17" s="9">
        <f>2615665869+(475000000+146000000+97000000+30000000+183000000+26093996.61+310000000+50000000)</f>
        <v>3932759865.6100001</v>
      </c>
      <c r="L17" s="8">
        <v>1</v>
      </c>
      <c r="M17" s="10">
        <v>1</v>
      </c>
      <c r="N17" s="9">
        <v>3000000</v>
      </c>
      <c r="O17" s="9">
        <v>19000000</v>
      </c>
      <c r="P17" s="2">
        <v>49</v>
      </c>
      <c r="Q17" s="30">
        <v>776508438.04000008</v>
      </c>
      <c r="R17" s="30">
        <v>2557612996.6099997</v>
      </c>
      <c r="S17" s="32"/>
    </row>
    <row r="18" spans="1:19" s="4" customFormat="1" ht="20.25" customHeight="1" x14ac:dyDescent="0.3">
      <c r="A18" s="5">
        <v>18</v>
      </c>
      <c r="B18" s="5">
        <v>14</v>
      </c>
      <c r="C18" s="7" t="s">
        <v>30</v>
      </c>
      <c r="D18" s="8">
        <f t="shared" ref="D18:G21" si="4">H18+L18</f>
        <v>0</v>
      </c>
      <c r="E18" s="8">
        <f t="shared" si="4"/>
        <v>0</v>
      </c>
      <c r="F18" s="9">
        <f t="shared" si="4"/>
        <v>0</v>
      </c>
      <c r="G18" s="9">
        <f t="shared" si="4"/>
        <v>0</v>
      </c>
      <c r="H18" s="8">
        <v>0</v>
      </c>
      <c r="I18" s="8">
        <v>0</v>
      </c>
      <c r="J18" s="9">
        <v>0</v>
      </c>
      <c r="K18" s="9">
        <v>0</v>
      </c>
      <c r="L18" s="8"/>
      <c r="M18" s="10"/>
      <c r="N18" s="9"/>
      <c r="O18" s="9"/>
      <c r="P18" s="2"/>
      <c r="Q18" s="30"/>
      <c r="R18" s="30"/>
      <c r="S18" s="32"/>
    </row>
    <row r="19" spans="1:19" s="4" customFormat="1" ht="20.25" customHeight="1" x14ac:dyDescent="0.3">
      <c r="A19" s="5">
        <v>19</v>
      </c>
      <c r="B19" s="5">
        <v>15</v>
      </c>
      <c r="C19" s="7" t="s">
        <v>31</v>
      </c>
      <c r="D19" s="8">
        <f t="shared" si="4"/>
        <v>1</v>
      </c>
      <c r="E19" s="8">
        <f t="shared" si="4"/>
        <v>1</v>
      </c>
      <c r="F19" s="9">
        <f t="shared" si="4"/>
        <v>10000000</v>
      </c>
      <c r="G19" s="9">
        <f t="shared" si="4"/>
        <v>20000000</v>
      </c>
      <c r="H19" s="8">
        <v>1</v>
      </c>
      <c r="I19" s="8">
        <v>1</v>
      </c>
      <c r="J19" s="9">
        <v>10000000</v>
      </c>
      <c r="K19" s="9">
        <v>20000000</v>
      </c>
      <c r="L19" s="8"/>
      <c r="M19" s="10"/>
      <c r="N19" s="9"/>
      <c r="O19" s="9"/>
      <c r="P19" s="2"/>
      <c r="Q19" s="30"/>
      <c r="R19" s="30"/>
      <c r="S19" s="32"/>
    </row>
    <row r="20" spans="1:19" s="4" customFormat="1" ht="20.25" customHeight="1" x14ac:dyDescent="0.3">
      <c r="A20" s="5"/>
      <c r="B20" s="5">
        <v>16</v>
      </c>
      <c r="C20" s="7" t="s">
        <v>32</v>
      </c>
      <c r="D20" s="8">
        <f t="shared" si="4"/>
        <v>0</v>
      </c>
      <c r="E20" s="8">
        <f t="shared" si="4"/>
        <v>0</v>
      </c>
      <c r="F20" s="9">
        <f t="shared" si="4"/>
        <v>0</v>
      </c>
      <c r="G20" s="9">
        <f t="shared" si="4"/>
        <v>0</v>
      </c>
      <c r="H20" s="8">
        <v>0</v>
      </c>
      <c r="I20" s="8">
        <v>0</v>
      </c>
      <c r="J20" s="9">
        <v>0</v>
      </c>
      <c r="K20" s="9">
        <v>0</v>
      </c>
      <c r="L20" s="8"/>
      <c r="M20" s="10"/>
      <c r="N20" s="9"/>
      <c r="O20" s="9"/>
      <c r="P20" s="2"/>
      <c r="Q20" s="30"/>
      <c r="R20" s="30"/>
      <c r="S20" s="32"/>
    </row>
    <row r="21" spans="1:19" s="4" customFormat="1" ht="18.75" x14ac:dyDescent="0.3">
      <c r="A21" s="5"/>
      <c r="B21" s="5">
        <v>17</v>
      </c>
      <c r="C21" s="7" t="s">
        <v>37</v>
      </c>
      <c r="D21" s="8">
        <f t="shared" si="4"/>
        <v>0</v>
      </c>
      <c r="E21" s="8">
        <f t="shared" si="4"/>
        <v>0</v>
      </c>
      <c r="F21" s="9">
        <f t="shared" si="4"/>
        <v>0</v>
      </c>
      <c r="G21" s="9">
        <f t="shared" si="4"/>
        <v>0</v>
      </c>
      <c r="H21" s="8"/>
      <c r="I21" s="8"/>
      <c r="J21" s="9"/>
      <c r="K21" s="9"/>
      <c r="L21" s="8"/>
      <c r="M21" s="10"/>
      <c r="N21" s="9"/>
      <c r="O21" s="9"/>
      <c r="P21" s="2"/>
      <c r="Q21" s="30"/>
      <c r="R21" s="30"/>
      <c r="S21" s="32"/>
    </row>
    <row r="22" spans="1:19" s="4" customFormat="1" ht="20.25" customHeight="1" x14ac:dyDescent="0.3">
      <c r="A22" s="5">
        <v>15</v>
      </c>
      <c r="B22" s="5">
        <v>18</v>
      </c>
      <c r="C22" s="7" t="s">
        <v>29</v>
      </c>
      <c r="D22" s="8">
        <f t="shared" si="3"/>
        <v>148</v>
      </c>
      <c r="E22" s="8">
        <f t="shared" si="0"/>
        <v>153</v>
      </c>
      <c r="F22" s="9">
        <f t="shared" si="1"/>
        <v>218642389</v>
      </c>
      <c r="G22" s="9">
        <f t="shared" si="2"/>
        <v>732069006</v>
      </c>
      <c r="H22" s="8">
        <v>138</v>
      </c>
      <c r="I22" s="8">
        <v>143</v>
      </c>
      <c r="J22" s="9">
        <f>154116682+(1170000+2795000+1500000+17339000+16170000+6842000+170217+326250+5869000)</f>
        <v>206298149</v>
      </c>
      <c r="K22" s="9">
        <f>540812006+(2360000+7800000+5000000+63107000+35820000+14850000+620000+2250000+18200000)</f>
        <v>690819006</v>
      </c>
      <c r="L22" s="8">
        <v>10</v>
      </c>
      <c r="M22" s="10">
        <v>10</v>
      </c>
      <c r="N22" s="9">
        <f>5395000+295000+1577240+1110000+3967000</f>
        <v>12344240</v>
      </c>
      <c r="O22" s="9">
        <f>14560000+5000000+5000000+3000000+13690000</f>
        <v>41250000</v>
      </c>
      <c r="P22" s="2">
        <v>78</v>
      </c>
      <c r="Q22" s="30">
        <v>169665019</v>
      </c>
      <c r="R22" s="30">
        <v>507517516</v>
      </c>
      <c r="S22" s="32"/>
    </row>
    <row r="23" spans="1:19" s="4" customFormat="1" ht="20.25" customHeight="1" x14ac:dyDescent="0.3">
      <c r="A23" s="5">
        <v>16</v>
      </c>
      <c r="B23" s="5">
        <v>19</v>
      </c>
      <c r="C23" s="7" t="s">
        <v>27</v>
      </c>
      <c r="D23" s="8">
        <f t="shared" si="3"/>
        <v>10</v>
      </c>
      <c r="E23" s="8">
        <f t="shared" si="0"/>
        <v>14</v>
      </c>
      <c r="F23" s="9">
        <f t="shared" si="1"/>
        <v>183969430.35000002</v>
      </c>
      <c r="G23" s="9">
        <f t="shared" si="2"/>
        <v>346823601.23000002</v>
      </c>
      <c r="H23" s="8">
        <v>8</v>
      </c>
      <c r="I23" s="8">
        <v>12</v>
      </c>
      <c r="J23" s="9">
        <f>98691041.67+(40910000+32258357.63+2382064)</f>
        <v>174241463.30000001</v>
      </c>
      <c r="K23" s="9">
        <f>188991960.63+(62100000+53967840.6+13963800)</f>
        <v>319023601.23000002</v>
      </c>
      <c r="L23" s="8">
        <v>2</v>
      </c>
      <c r="M23" s="10">
        <v>2</v>
      </c>
      <c r="N23" s="9">
        <v>9727967.0500000007</v>
      </c>
      <c r="O23" s="9">
        <v>27800000</v>
      </c>
      <c r="P23" s="2">
        <v>12</v>
      </c>
      <c r="Q23" s="30">
        <v>178288388.68000001</v>
      </c>
      <c r="R23" s="30">
        <v>322323601.23000002</v>
      </c>
      <c r="S23" s="32"/>
    </row>
    <row r="24" spans="1:19" s="4" customFormat="1" ht="19.5" customHeight="1" x14ac:dyDescent="0.3">
      <c r="A24" s="5"/>
      <c r="B24" s="5"/>
      <c r="C24" s="11" t="s">
        <v>0</v>
      </c>
      <c r="D24" s="8">
        <f t="shared" ref="D24" si="5">H24+L24</f>
        <v>201</v>
      </c>
      <c r="E24" s="8">
        <f t="shared" ref="E24" si="6">I24+M24</f>
        <v>214</v>
      </c>
      <c r="F24" s="9">
        <f t="shared" ref="F24" si="7">J24+N24</f>
        <v>705907698</v>
      </c>
      <c r="G24" s="9">
        <f t="shared" ref="G24" si="8">K24+O24</f>
        <v>1913465354.27</v>
      </c>
      <c r="H24" s="8">
        <v>201</v>
      </c>
      <c r="I24" s="8">
        <v>214</v>
      </c>
      <c r="J24" s="9">
        <v>705907698</v>
      </c>
      <c r="K24" s="9">
        <v>1913465354.27</v>
      </c>
      <c r="L24" s="8"/>
      <c r="M24" s="8"/>
      <c r="N24" s="9"/>
      <c r="O24" s="9"/>
      <c r="P24" s="2"/>
      <c r="Q24" s="30"/>
      <c r="R24" s="30"/>
    </row>
    <row r="25" spans="1:19" s="17" customFormat="1" ht="15.75" x14ac:dyDescent="0.25">
      <c r="A25" s="12"/>
      <c r="B25" s="12"/>
      <c r="C25" s="13" t="s">
        <v>1</v>
      </c>
      <c r="D25" s="14">
        <f>H25+L25</f>
        <v>1496</v>
      </c>
      <c r="E25" s="14">
        <f t="shared" ref="E25" si="9">I25+M25</f>
        <v>1669</v>
      </c>
      <c r="F25" s="27">
        <f>J25+N25</f>
        <v>8989839431.8300018</v>
      </c>
      <c r="G25" s="27">
        <f>K25+O25</f>
        <v>36667526304.839996</v>
      </c>
      <c r="H25" s="15">
        <f t="shared" ref="H25:R25" si="10">SUM(H5:H24)</f>
        <v>1438</v>
      </c>
      <c r="I25" s="15">
        <f t="shared" si="10"/>
        <v>1603</v>
      </c>
      <c r="J25" s="15">
        <f t="shared" si="10"/>
        <v>8490223224.7800016</v>
      </c>
      <c r="K25" s="15">
        <f t="shared" si="10"/>
        <v>30647774304.84</v>
      </c>
      <c r="L25" s="16">
        <f t="shared" si="10"/>
        <v>58</v>
      </c>
      <c r="M25" s="16">
        <f t="shared" si="10"/>
        <v>66</v>
      </c>
      <c r="N25" s="26">
        <f t="shared" si="10"/>
        <v>499616207.05000001</v>
      </c>
      <c r="O25" s="26">
        <f t="shared" si="10"/>
        <v>6019752000</v>
      </c>
      <c r="P25" s="3">
        <f t="shared" si="10"/>
        <v>468</v>
      </c>
      <c r="Q25" s="31">
        <f t="shared" si="10"/>
        <v>3482873262.0999999</v>
      </c>
      <c r="R25" s="31">
        <f t="shared" si="10"/>
        <v>21873260934.790001</v>
      </c>
      <c r="S25" s="33"/>
    </row>
    <row r="27" spans="1:19" ht="15.75" customHeight="1" x14ac:dyDescent="0.25">
      <c r="E27" s="20"/>
      <c r="F27" s="18"/>
      <c r="M27" s="18"/>
      <c r="N27" s="18"/>
      <c r="O27" s="18"/>
    </row>
    <row r="28" spans="1:19" x14ac:dyDescent="0.25">
      <c r="E28" s="20"/>
      <c r="F28" s="18"/>
      <c r="G28" s="24"/>
      <c r="M28" s="18"/>
      <c r="N28" s="18"/>
      <c r="O28" s="18"/>
      <c r="P28" s="20"/>
      <c r="Q28" s="20"/>
      <c r="R28" s="20"/>
    </row>
    <row r="29" spans="1:19" x14ac:dyDescent="0.25">
      <c r="E29" s="21"/>
      <c r="F29" s="21"/>
      <c r="G29" s="21"/>
      <c r="H29" s="20"/>
      <c r="I29" s="18"/>
      <c r="J29" s="18"/>
      <c r="K29" s="18"/>
      <c r="L29" s="18"/>
      <c r="M29" s="22"/>
      <c r="N29" s="18" t="s">
        <v>38</v>
      </c>
      <c r="O29" s="18"/>
      <c r="P29" s="20"/>
      <c r="Q29" s="20"/>
      <c r="R29" s="20"/>
    </row>
    <row r="30" spans="1:19" x14ac:dyDescent="0.25">
      <c r="E30" s="20"/>
      <c r="F30" s="18"/>
      <c r="L30" s="18"/>
      <c r="M30" s="18"/>
      <c r="N30" s="18"/>
      <c r="O30" s="18"/>
      <c r="P30" s="20"/>
      <c r="Q30" s="20"/>
    </row>
    <row r="31" spans="1:19" x14ac:dyDescent="0.25">
      <c r="E31" s="20"/>
      <c r="F31" s="18"/>
      <c r="G31" s="28"/>
      <c r="L31" s="18"/>
      <c r="M31" s="18"/>
      <c r="N31" s="18"/>
      <c r="P31" s="20"/>
    </row>
    <row r="32" spans="1:19" x14ac:dyDescent="0.25">
      <c r="G32" s="22"/>
      <c r="M32" s="18"/>
      <c r="N32" s="18"/>
    </row>
    <row r="33" spans="5:13" x14ac:dyDescent="0.25">
      <c r="E33" s="20"/>
      <c r="L33" s="18"/>
      <c r="M33" s="18"/>
    </row>
    <row r="34" spans="5:13" x14ac:dyDescent="0.25">
      <c r="E34" s="20"/>
    </row>
    <row r="35" spans="5:13" x14ac:dyDescent="0.25">
      <c r="E35" s="20"/>
    </row>
    <row r="36" spans="5:13" x14ac:dyDescent="0.25">
      <c r="E36" s="20"/>
    </row>
  </sheetData>
  <mergeCells count="8">
    <mergeCell ref="P3:R3"/>
    <mergeCell ref="A1:R2"/>
    <mergeCell ref="A3:A4"/>
    <mergeCell ref="C3:C4"/>
    <mergeCell ref="L3:O3"/>
    <mergeCell ref="D3:G3"/>
    <mergeCell ref="H3:K3"/>
    <mergeCell ref="B3:B4"/>
  </mergeCells>
  <pageMargins left="3.937007874015748E-2" right="3.937007874015748E-2" top="1.0236220472440944" bottom="3.937007874015748E-2" header="0.31496062992125984" footer="0.31496062992125984"/>
  <pageSetup paperSize="9" scale="4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поручительства Фонда</vt:lpstr>
      <vt:lpstr>'поручительства Фонда'!Область_печати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Procenko</dc:creator>
  <cp:lastModifiedBy>gl_econ</cp:lastModifiedBy>
  <cp:lastPrinted>2025-01-15T04:36:18Z</cp:lastPrinted>
  <dcterms:created xsi:type="dcterms:W3CDTF">2012-01-25T08:03:53Z</dcterms:created>
  <dcterms:modified xsi:type="dcterms:W3CDTF">2025-08-07T03:48:31Z</dcterms:modified>
</cp:coreProperties>
</file>